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sistente Rectoria\Desktop\MATRIZ RIESGOS PROCESOS\INVESTIGACIÓN\"/>
    </mc:Choice>
  </mc:AlternateContent>
  <bookViews>
    <workbookView xWindow="0" yWindow="0" windowWidth="28800" windowHeight="1243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52511"/>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M64" i="1"/>
  <c r="AB64" i="1" s="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M46" i="1"/>
  <c r="AH34" i="18"/>
  <c r="AH42" i="18"/>
  <c r="AH18" i="18"/>
  <c r="AB10" i="18"/>
  <c r="J26" i="18"/>
  <c r="V18" i="18"/>
  <c r="V42" i="18"/>
  <c r="J42" i="18"/>
  <c r="P10" i="18"/>
  <c r="AB26" i="18"/>
  <c r="J34" i="18"/>
  <c r="J18" i="18"/>
  <c r="AH10" i="18"/>
  <c r="AB34" i="18"/>
  <c r="P26" i="18"/>
  <c r="P34" i="18"/>
  <c r="V34" i="18"/>
  <c r="AH26" i="18"/>
  <c r="J10" i="18"/>
  <c r="N46" i="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9" i="1" l="1"/>
  <c r="AB28" i="1"/>
  <c r="AA28" i="1" s="1"/>
  <c r="AA64" i="1"/>
  <c r="AB66" i="1"/>
  <c r="AB59" i="1"/>
  <c r="AB58" i="1"/>
  <c r="AB41" i="1"/>
  <c r="AB40" i="1"/>
  <c r="AA40" i="1" s="1"/>
  <c r="AB53" i="1"/>
  <c r="AB52" i="1"/>
  <c r="AA52" i="1" s="1"/>
  <c r="AA10" i="1"/>
  <c r="AB11" i="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<sst xmlns="http://schemas.openxmlformats.org/spreadsheetml/2006/main" count="329" uniqueCount="223">
  <si>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</si>
  <si>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</si>
  <si>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</si>
  <si>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</si>
  <si>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</si>
  <si>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</si>
  <si>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</si>
  <si>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</si>
  <si>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</si>
  <si>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</si>
  <si>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</si>
  <si>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</si>
  <si>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</si>
  <si>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</si>
  <si>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</si>
  <si>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</si>
  <si>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</si>
  <si>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</si>
  <si>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</si>
  <si>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</si>
  <si>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</si>
  <si>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</si>
  <si>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</si>
  <si>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</si>
  <si>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</si>
  <si>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</si>
  <si>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</si>
  <si>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</si>
  <si>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</si>
  <si>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</si>
  <si>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</si>
  <si>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</si>
  <si>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</si>
  <si>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</si>
  <si>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</si>
  <si>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</si>
  <si>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</si>
  <si>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</si>
  <si>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</si>
  <si>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</si>
  <si>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</si>
  <si>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</si>
  <si>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</si>
  <si>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</si>
  <si>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</si>
  <si>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</si>
  <si>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</si>
  <si>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</si>
  <si>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</si>
  <si>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</si>
  <si>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</si>
  <si>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</si>
  <si>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</si>
  <si>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</si>
  <si>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</si>
  <si>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</si>
  <si>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</si>
  <si>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</si>
  <si>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</si>
  <si>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</si>
  <si>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</si>
  <si>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</si>
  <si>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</si>
  <si>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</si>
  <si>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</si>
  <si>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</si>
  <si>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</si>
  <si>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</si>
  <si>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</si>
  <si>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</si>
  <si>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</si>
  <si>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</si>
  <si>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</si>
  <si>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</si>
  <si>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</si>
  <si>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</si>
  <si>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</si>
  <si>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</si>
  <si>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</si>
  <si>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</si>
  <si>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</si>
  <si>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</si>
  <si>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</si>
  <si>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</si>
  <si>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</si>
  <si>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</si>
  <si>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</si>
  <si>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</si>
  <si>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</si>
  <si>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</si>
  <si>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</si>
  <si>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</si>
  <si>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</si>
  <si>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</si>
  <si>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</si>
  <si>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</si>
  <si>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</si>
  <si>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</si>
  <si>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</si>
  <si>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</si>
  <si>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</si>
  <si>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</si>
  <si>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</si>
  <si>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</si>
  <si>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</si>
  <si>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</si>
  <si>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</si>
  <si>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</si>
  <si>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</si>
  <si>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</si>
  <si>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</si>
  <si>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</si>
  <si>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</si>
  <si>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</si>
  <si>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</si>
  <si>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</si>
  <si>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</si>
  <si>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</si>
  <si>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</si>
  <si>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</si>
  <si>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</si>
  <si>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</si>
  <si>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</si>
  <si>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</si>
  <si>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</si>
  <si>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</si>
  <si>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</si>
  <si>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</si>
  <si>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</si>
  <si>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</si>
  <si>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</si>
  <si>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</si>
  <si>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</si>
  <si>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</si>
  <si>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</si>
  <si>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</si>
  <si>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</si>
  <si>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</si>
  <si>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</si>
  <si>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</si>
  <si>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</si>
  <si>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</si>
  <si>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</si>
  <si>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</si>
  <si>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</si>
  <si>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</si>
  <si>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</si>
  <si>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</si>
  <si>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</si>
  <si>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</si>
  <si>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</si>
  <si>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</si>
  <si>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</si>
  <si>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</si>
  <si>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</si>
  <si>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</si>
  <si>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</si>
  <si>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</si>
  <si>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</si>
  <si>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</si>
  <si>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</si>
  <si>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</si>
  <si>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</si>
  <si>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</si>
  <si>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</si>
  <si>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</si>
  <si>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</si>
  <si>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</si>
  <si>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</si>
  <si>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</si>
  <si>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</si>
  <si>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</si>
  <si>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</si>
  <si>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</si>
  <si>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</si>
  <si>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</si>
  <si>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</si>
  <si>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</si>
  <si>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</si>
  <si>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</si>
  <si>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</si>
  <si>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</si>
  <si>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</si>
  <si>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</si>
  <si>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</si>
  <si>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</si>
  <si>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</si>
  <si>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</si>
  <si>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</si>
  <si>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</si>
  <si>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</si>
  <si>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</si>
  <si>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</si>
  <si>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</si>
  <si>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</si>
  <si>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</si>
  <si>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</si>
  <si>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</si>
  <si>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</si>
  <si>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</si>
  <si>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</si>
  <si>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</si>
  <si>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</si>
  <si>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</si>
  <si>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</si>
  <si>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</si>
  <si>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</si>
  <si>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</si>
  <si>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</si>
  <si>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</si>
  <si>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</si>
  <si>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</si>
  <si>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</si>
  <si>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</si>
  <si>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Coordinador de Investigación </t>
  </si>
  <si>
    <t xml:space="preserve">Asesoria y acompañamiento a los proyectos de investigación </t>
  </si>
  <si>
    <t>Fomentar la investigación para el desarrollo de la innovación para la generación de conocimiento que responda a las necesidades del entorno.</t>
  </si>
  <si>
    <t xml:space="preserve">
Pérdida o no categorización de los grupos de investigación. </t>
  </si>
  <si>
    <t xml:space="preserve">
Los productos de investigación no cumplan con los requerimientos normativos debido a:     1. No se garantizan los Recursos adecuados y suficientes de tipo humano, financiero y logístico. 2. Perfiles de los docentes no enfocados a la investigación científica.
                 3. Debilidades en la estructuración de los proyectos de investigación.           4. Los informes de ejecución de los proyectos no reflejan la realidad del mismo en cuanto a calidad, pertinencia y cumplimento de objetivos.
</t>
  </si>
  <si>
    <t xml:space="preserve">Posibilidad de pérdida reputacional por perder o no la no categorazión de los grupos de investigación, debido a que los productos de investigación no cumplen con los requerimientos normativos. </t>
  </si>
  <si>
    <t xml:space="preserve">Lider de cada grupo de investigación verifica que los proyectos cumplan con las etapas planteadas en la formulación del proyecto para elaborar informes de entragas parciales o certificado de finalización del proyecto.    </t>
  </si>
  <si>
    <t xml:space="preserve">Todos los procesos </t>
  </si>
  <si>
    <t>Versión 5 - Investigación - Vigencia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</si>
</sst>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7" zoomScale="110" zoomScaleNormal="110" workbookViewId="0">
      <selection activeCell="E34" sqref="E34:F34"/>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110" zoomScaleNormal="110" workbookViewId="0">
      <selection activeCell="C5" sqref="C5:N5"/>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222</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216</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221</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132</v>
      </c>
      <c r="C10" s="179" t="s">
        <v>217</v>
      </c>
      <c r="D10" s="179" t="s">
        <v>218</v>
      </c>
      <c r="E10" s="191" t="s">
        <v>219</v>
      </c>
      <c r="F10" s="179" t="s">
        <v>123</v>
      </c>
      <c r="G10" s="182">
        <v>6</v>
      </c>
      <c r="H10" s="185" t="str">
        <f>IF(G10&lt;=0,"",IF(G10&lt;=2,"Muy Baja",IF(G10&lt;=24,"Baja",IF(G10&lt;=500,"Media",IF(G10&lt;=5000,"Alta","Muy Alta")))))</f>
        <v>Baja</v>
      </c>
      <c r="I10" s="197">
        <f>IF(H10="","",IF(H10="Muy Baja",0.2,IF(H10="Baja",0.4,IF(H10="Media",0.6,IF(H10="Alta",0.8,IF(H10="Muy Alta",1,))))))</f>
        <v>0.4</v>
      </c>
      <c r="J10" s="200" t="s">
        <v>155</v>
      </c>
      <c r="K10" s="197" t="str">
        <f>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185" t="str">
        <f>IF(OR(K10='Tabla Impacto'!$C$11,K10='Tabla Impacto'!$D$11),"Leve",IF(OR(K10='Tabla Impacto'!$C$12,K10='Tabla Impacto'!$D$12),"Menor",IF(OR(K10='Tabla Impacto'!$C$13,K10='Tabla Impacto'!$D$13),"Moderado",IF(OR(K10='Tabla Impacto'!$C$14,K10='Tabla Impacto'!$D$14),"Mayor",IF(OR(K10='Tabla Impacto'!$C$15,K10='Tabla Impacto'!$D$15),"Catastrófico","")))))</f>
        <v>Moderado</v>
      </c>
      <c r="M10" s="197">
        <f>IF(L10="","",IF(L10="Leve",0.2,IF(L10="Menor",0.4,IF(L10="Moderado",0.6,IF(L10="Mayor",0.8,IF(L10="Catastrófico",1,))))))</f>
        <v>0.6</v>
      </c>
      <c r="N10" s="19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220</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0.24</v>
      </c>
      <c r="Y10" s="131" t="str">
        <f>IFERROR(IF(X10="","",IF(X10&lt;=0.2,"Muy Baja",IF(X10&lt;=0.4,"Baja",IF(X10&lt;=0.6,"Media",IF(X10&lt;=0.8,"Alta","Muy Alta"))))),"")</f>
        <v>Baja</v>
      </c>
      <c r="Z10" s="132">
        <f>+X10</f>
        <v>0.24</v>
      </c>
      <c r="AA10" s="131" t="str">
        <f>IFERROR(IF(AB10="","",IF(AB10&lt;=0.2,"Leve",IF(AB10&lt;=0.4,"Menor",IF(AB10&lt;=0.6,"Moderado",IF(AB10&lt;=0.8,"Mayor","Catastrófico"))))),"")</f>
        <v>Moderado</v>
      </c>
      <c r="AB10" s="132">
        <f>IFERROR(IF(Q10="Impacto",(M10-(+M10*T10)),IF(Q10="Probabilidad",M10,"")),"")</f>
        <v>0.6</v>
      </c>
      <c r="AC10" s="13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35" t="s">
        <v>215</v>
      </c>
      <c r="AF10" s="136" t="s">
        <v>214</v>
      </c>
      <c r="AG10" s="137">
        <v>44925</v>
      </c>
      <c r="AH10" s="137"/>
      <c r="AI10" s="135"/>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IF(NOT(ISERROR(MATCH(J11,_xlfn.ANCHORARRAY(E22),0))),I24&amp;"Por favor no seleccionar los criterios de impacto",J11)</f>
        <v>0</v>
      </c>
      <c r="L11" s="186"/>
      <c r="M11" s="198"/>
      <c r="N11" s="195"/>
      <c r="O11" s="125">
        <v>2</v>
      </c>
      <c r="P11" s="126"/>
      <c r="Q11" s="127" t="str">
        <f>IF(OR(R11="Preventivo",R11="Detectivo"),"Probabilidad",IF(R11="Correctivo","Impacto",""))</f>
        <v/>
      </c>
      <c r="R11" s="128"/>
      <c r="S11" s="128" t="s">
        <v>9</v>
      </c>
      <c r="T11" s="129" t="str">
        <f t="shared" ref="T11:T15" si="0">IF(AND(R11="Preventivo",S11="Automático"),"50%",IF(AND(R11="Preventivo",S11="Manual"),"40%",IF(AND(R11="Detectivo",S11="Automático"),"40%",IF(AND(R11="Detectivo",S11="Manual"),"30%",IF(AND(R11="Correctivo",S11="Automático"),"35%",IF(AND(R11="Correctivo",S11="Manual"),"25%",""))))))</f>
        <v/>
      </c>
      <c r="U11" s="128"/>
      <c r="V11" s="128" t="s">
        <v>22</v>
      </c>
      <c r="W11" s="128" t="s">
        <v>120</v>
      </c>
      <c r="X11" s="130" t="str">
        <f>IFERROR(IF(AND(Q10="Probabilidad",Q11="Probabilidad"),(Z10-(+Z10*T11)),IF(Q11="Probabilidad",(I10-(+I10*T11)),IF(Q11="Impacto",Z10,""))),"")</f>
        <v/>
      </c>
      <c r="Y11" s="131" t="str">
        <f t="shared" ref="Y11:Y69" si="1">IFERROR(IF(X11="","",IF(X11&lt;=0.2,"Muy Baja",IF(X11&lt;=0.4,"Baja",IF(X11&lt;=0.6,"Media",IF(X11&lt;=0.8,"Alta","Muy Alta"))))),"")</f>
        <v/>
      </c>
      <c r="Z11" s="132" t="str">
        <f t="shared" ref="Z11:Z15" si="2">+X11</f>
        <v/>
      </c>
      <c r="AA11" s="131" t="str">
        <f t="shared" ref="AA11:AA69" si="3">IFERROR(IF(AB11="","",IF(AB11&lt;=0.2,"Leve",IF(AB11&lt;=0.4,"Menor",IF(AB11&lt;=0.6,"Moderado",IF(AB11&lt;=0.8,"Mayor","Catastrófico"))))),"")</f>
        <v/>
      </c>
      <c r="AB11" s="132" t="str">
        <f>IFERROR(IF(AND(Q10="Impacto",Q11="Impacto"),(AB10-(+AB10*T11)),IF(Q11="Impacto",($M$10-(+$M$10*T11)),IF(Q11="Probabilidad",AB10,""))),"")</f>
        <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c r="AE11" s="135"/>
      <c r="AF11" s="136"/>
      <c r="AG11" s="137"/>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IF(NOT(ISERROR(MATCH(J12,_xlfn.ANCHORARRAY(E23),0))),I25&amp;"Por favor no seleccionar los criterios de impacto",J12)</f>
        <v>0</v>
      </c>
      <c r="L12" s="186"/>
      <c r="M12" s="198"/>
      <c r="N12" s="195"/>
      <c r="O12" s="125">
        <v>3</v>
      </c>
      <c r="P12" s="138"/>
      <c r="Q12" s="127" t="str">
        <f>IF(OR(R12="Preventivo",R12="Detectivo"),"Probabilidad",IF(R12="Correctivo","Impacto",""))</f>
        <v>Impacto</v>
      </c>
      <c r="R12" s="128" t="s">
        <v>16</v>
      </c>
      <c r="S12" s="128" t="s">
        <v>9</v>
      </c>
      <c r="T12" s="129" t="str">
        <f t="shared" si="0"/>
        <v>25%</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c r="C16" s="179"/>
      <c r="D16" s="179"/>
      <c r="E16" s="191"/>
      <c r="F16" s="179"/>
      <c r="G16" s="182"/>
      <c r="H16" s="185" t="str">
        <f>IF(G16&lt;=0,"",IF(G16&lt;=2,"Muy Baja",IF(G16&lt;=24,"Baja",IF(G16&lt;=500,"Media",IF(G16&lt;=5000,"Alta","Muy Alta")))))</f>
        <v/>
      </c>
      <c r="I16" s="197" t="str">
        <f>IF(H16="","",IF(H16="Muy Baja",0.2,IF(H16="Baja",0.4,IF(H16="Media",0.6,IF(H16="Alta",0.8,IF(H16="Muy Alta",1,))))))</f>
        <v/>
      </c>
      <c r="J16" s="200"/>
      <c r="K16" s="197">
        <f>IF(NOT(ISERROR(MATCH(J16,'Tabla Impacto'!$B$221:$B$223,0))),'Tabla Impacto'!$F$223&amp;"Por favor no seleccionar los criterios de impacto(Afectación Económica o presupuestal y Pérdida Reputacional)",J16)</f>
        <v>0</v>
      </c>
      <c r="L16" s="185" t="str">
        <f>IF(OR(K16='Tabla Impacto'!$C$11,K16='Tabla Impacto'!$D$11),"Leve",IF(OR(K16='Tabla Impacto'!$C$12,K16='Tabla Impacto'!$D$12),"Menor",IF(OR(K16='Tabla Impacto'!$C$13,K16='Tabla Impacto'!$D$13),"Moderado",IF(OR(K16='Tabla Impacto'!$C$14,K16='Tabla Impacto'!$D$14),"Mayor",IF(OR(K16='Tabla Impacto'!$C$15,K16='Tabla Impacto'!$D$15),"Catastrófico","")))))</f>
        <v/>
      </c>
      <c r="M16" s="197" t="str">
        <f>IF(L16="","",IF(L16="Leve",0.2,IF(L16="Menor",0.4,IF(L16="Moderado",0.6,IF(L16="Mayor",0.8,IF(L16="Catastrófico",1,))))))</f>
        <v/>
      </c>
      <c r="N16" s="194"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IF(NOT(ISERROR(MATCH(J17,_xlfn.ANCHORARRAY(E28),0))),I30&amp;"Por favor no seleccionar los criterios de impacto",J17)</f>
        <v>0</v>
      </c>
      <c r="L17" s="186"/>
      <c r="M17" s="198"/>
      <c r="N17" s="195"/>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IF(NOT(ISERROR(MATCH(J18,_xlfn.ANCHORARRAY(E29),0))),I31&amp;"Por favor no seleccionar los criterios de impacto",J18)</f>
        <v>0</v>
      </c>
      <c r="L18" s="186"/>
      <c r="M18" s="198"/>
      <c r="N18" s="195"/>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c r="C22" s="179"/>
      <c r="D22" s="179"/>
      <c r="E22" s="191"/>
      <c r="F22" s="179"/>
      <c r="G22" s="182"/>
      <c r="H22" s="185" t="str">
        <f>IF(G22&lt;=0,"",IF(G22&lt;=2,"Muy Baja",IF(G22&lt;=24,"Baja",IF(G22&lt;=500,"Media",IF(G22&lt;=5000,"Alta","Muy Alta")))))</f>
        <v/>
      </c>
      <c r="I22" s="197" t="str">
        <f>IF(H22="","",IF(H22="Muy Baja",0.2,IF(H22="Baja",0.4,IF(H22="Media",0.6,IF(H22="Alta",0.8,IF(H22="Muy Alta",1,))))))</f>
        <v/>
      </c>
      <c r="J22" s="200"/>
      <c r="K22" s="197">
        <f>IF(NOT(ISERROR(MATCH(J22,'Tabla Impacto'!$B$221:$B$223,0))),'Tabla Impacto'!$F$223&amp;"Por favor no seleccionar los criterios de impacto(Afectación Económica o presupuestal y Pérdida Reputacional)",J22)</f>
        <v>0</v>
      </c>
      <c r="L22" s="185" t="str">
        <f>IF(OR(K22='Tabla Impacto'!$C$11,K22='Tabla Impacto'!$D$11),"Leve",IF(OR(K22='Tabla Impacto'!$C$12,K22='Tabla Impacto'!$D$12),"Menor",IF(OR(K22='Tabla Impacto'!$C$13,K22='Tabla Impacto'!$D$13),"Moderado",IF(OR(K22='Tabla Impacto'!$C$14,K22='Tabla Impacto'!$D$14),"Mayor",IF(OR(K22='Tabla Impacto'!$C$15,K22='Tabla Impacto'!$D$15),"Catastrófico","")))))</f>
        <v/>
      </c>
      <c r="M22" s="197" t="str">
        <f>IF(L22="","",IF(L22="Leve",0.2,IF(L22="Menor",0.4,IF(L22="Moderado",0.6,IF(L22="Mayor",0.8,IF(L22="Catastrófico",1,))))))</f>
        <v/>
      </c>
      <c r="N22" s="194"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IF(NOT(ISERROR(MATCH(J28,'Tabla Impacto'!$B$221:$B$223,0))),'Tabla Impacto'!$F$223&amp;"Por favor no seleccionar los criterios de impacto(Afectación Económica o presupuestal y Pérdida Reputacional)",J28)</f>
        <v>0</v>
      </c>
      <c r="L28" s="185" t="str">
        <f>IF(OR(K28='Tabla Impacto'!$C$11,K28='Tabla Impacto'!$D$11),"Leve",IF(OR(K28='Tabla Impacto'!$C$12,K28='Tabla Impacto'!$D$12),"Menor",IF(OR(K28='Tabla Impacto'!$C$13,K28='Tabla Impacto'!$D$13),"Moderado",IF(OR(K28='Tabla Impacto'!$C$14,K28='Tabla Impacto'!$D$14),"Mayor",IF(OR(K28='Tabla Impacto'!$C$15,K28='Tabla Impacto'!$D$15),"Catastrófico","")))))</f>
        <v/>
      </c>
      <c r="M28" s="197" t="str">
        <f>IF(L28="","",IF(L28="Leve",0.2,IF(L28="Menor",0.4,IF(L28="Moderado",0.6,IF(L28="Mayor",0.8,IF(L28="Catastrófico",1,))))))</f>
        <v/>
      </c>
      <c r="N28" s="194"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IF(NOT(ISERROR(MATCH(J34,'Tabla Impacto'!$B$221:$B$223,0))),'Tabla Impacto'!$F$223&amp;"Por favor no seleccionar los criterios de impacto(Afectación Económica o presupuestal y Pérdida Reputacional)",J34)</f>
        <v>0</v>
      </c>
      <c r="L34" s="185" t="str">
        <f>IF(OR(K34='Tabla Impacto'!$C$11,K34='Tabla Impacto'!$D$11),"Leve",IF(OR(K34='Tabla Impacto'!$C$12,K34='Tabla Impacto'!$D$12),"Menor",IF(OR(K34='Tabla Impacto'!$C$13,K34='Tabla Impacto'!$D$13),"Moderado",IF(OR(K34='Tabla Impacto'!$C$14,K34='Tabla Impacto'!$D$14),"Mayor",IF(OR(K34='Tabla Impacto'!$C$15,K34='Tabla Impacto'!$D$15),"Catastrófico","")))))</f>
        <v/>
      </c>
      <c r="M34" s="197" t="str">
        <f>IF(L34="","",IF(L34="Leve",0.2,IF(L34="Menor",0.4,IF(L34="Moderado",0.6,IF(L34="Mayor",0.8,IF(L34="Catastrófico",1,))))))</f>
        <v/>
      </c>
      <c r="N34" s="194"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IF(NOT(ISERROR(MATCH(J40,'Tabla Impacto'!$B$221:$B$223,0))),'Tabla Impacto'!$F$223&amp;"Por favor no seleccionar los criterios de impacto(Afectación Económica o presupuestal y Pérdida Reputacional)",J40)</f>
        <v>0</v>
      </c>
      <c r="L40" s="185" t="str">
        <f>IF(OR(K40='Tabla Impacto'!$C$11,K40='Tabla Impacto'!$D$11),"Leve",IF(OR(K40='Tabla Impacto'!$C$12,K40='Tabla Impacto'!$D$12),"Menor",IF(OR(K40='Tabla Impacto'!$C$13,K40='Tabla Impacto'!$D$13),"Moderado",IF(OR(K40='Tabla Impacto'!$C$14,K40='Tabla Impacto'!$D$14),"Mayor",IF(OR(K40='Tabla Impacto'!$C$15,K40='Tabla Impacto'!$D$15),"Catastrófico","")))))</f>
        <v/>
      </c>
      <c r="M40" s="197" t="str">
        <f>IF(L40="","",IF(L40="Leve",0.2,IF(L40="Menor",0.4,IF(L40="Moderado",0.6,IF(L40="Mayor",0.8,IF(L40="Catastrófico",1,))))))</f>
        <v/>
      </c>
      <c r="N40" s="194"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IF(NOT(ISERROR(MATCH(J46,'Tabla Impacto'!$B$221:$B$223,0))),'Tabla Impacto'!$F$223&amp;"Por favor no seleccionar los criterios de impacto(Afectación Económica o presupuestal y Pérdida Reputacional)",J46)</f>
        <v>0</v>
      </c>
      <c r="L46" s="185" t="str">
        <f>IF(OR(K46='Tabla Impacto'!$C$11,K46='Tabla Impacto'!$D$11),"Leve",IF(OR(K46='Tabla Impacto'!$C$12,K46='Tabla Impacto'!$D$12),"Menor",IF(OR(K46='Tabla Impacto'!$C$13,K46='Tabla Impacto'!$D$13),"Moderado",IF(OR(K46='Tabla Impacto'!$C$14,K46='Tabla Impacto'!$D$14),"Mayor",IF(OR(K46='Tabla Impacto'!$C$15,K46='Tabla Impacto'!$D$15),"Catastrófico","")))))</f>
        <v/>
      </c>
      <c r="M46" s="197" t="str">
        <f>IF(L46="","",IF(L46="Leve",0.2,IF(L46="Menor",0.4,IF(L46="Moderado",0.6,IF(L46="Mayor",0.8,IF(L46="Catastrófico",1,))))))</f>
        <v/>
      </c>
      <c r="N46" s="194"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IF(NOT(ISERROR(MATCH(J52,'Tabla Impacto'!$B$221:$B$223,0))),'Tabla Impacto'!$F$223&amp;"Por favor no seleccionar los criterios de impacto(Afectación Económica o presupuestal y Pérdida Reputacional)",J52)</f>
        <v>0</v>
      </c>
      <c r="L52" s="185" t="str">
        <f>IF(OR(K52='Tabla Impacto'!$C$11,K52='Tabla Impacto'!$D$11),"Leve",IF(OR(K52='Tabla Impacto'!$C$12,K52='Tabla Impacto'!$D$12),"Menor",IF(OR(K52='Tabla Impacto'!$C$13,K52='Tabla Impacto'!$D$13),"Moderado",IF(OR(K52='Tabla Impacto'!$C$14,K52='Tabla Impacto'!$D$14),"Mayor",IF(OR(K52='Tabla Impacto'!$C$15,K52='Tabla Impacto'!$D$15),"Catastrófico","")))))</f>
        <v/>
      </c>
      <c r="M52" s="197" t="str">
        <f>IF(L52="","",IF(L52="Leve",0.2,IF(L52="Menor",0.4,IF(L52="Moderado",0.6,IF(L52="Mayor",0.8,IF(L52="Catastrófico",1,))))))</f>
        <v/>
      </c>
      <c r="N52" s="194"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IF(NOT(ISERROR(MATCH(J58,'Tabla Impacto'!$B$221:$B$223,0))),'Tabla Impacto'!$F$223&amp;"Por favor no seleccionar los criterios de impacto(Afectación Económica o presupuestal y Pérdida Reputacional)",J58)</f>
        <v>0</v>
      </c>
      <c r="L58" s="185" t="str">
        <f>IF(OR(K58='Tabla Impacto'!$C$11,K58='Tabla Impacto'!$D$11),"Leve",IF(OR(K58='Tabla Impacto'!$C$12,K58='Tabla Impacto'!$D$12),"Menor",IF(OR(K58='Tabla Impacto'!$C$13,K58='Tabla Impacto'!$D$13),"Moderado",IF(OR(K58='Tabla Impacto'!$C$14,K58='Tabla Impacto'!$D$14),"Mayor",IF(OR(K58='Tabla Impacto'!$C$15,K58='Tabla Impacto'!$D$15),"Catastrófico","")))))</f>
        <v/>
      </c>
      <c r="M58" s="197" t="str">
        <f>IF(L58="","",IF(L58="Leve",0.2,IF(L58="Menor",0.4,IF(L58="Moderado",0.6,IF(L58="Mayor",0.8,IF(L58="Catastrófico",1,))))))</f>
        <v/>
      </c>
      <c r="N58" s="194"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IF(NOT(ISERROR(MATCH(J64,'Tabla Impacto'!$B$221:$B$223,0))),'Tabla Impacto'!$F$223&amp;"Por favor no seleccionar los criterios de impacto(Afectación Económica o presupuestal y Pérdida Reputacional)",J64)</f>
        <v>0</v>
      </c>
      <c r="L64" s="185" t="str">
        <f>IF(OR(K64='Tabla Impacto'!$C$11,K64='Tabla Impacto'!$D$11),"Leve",IF(OR(K64='Tabla Impacto'!$C$12,K64='Tabla Impacto'!$D$12),"Menor",IF(OR(K64='Tabla Impacto'!$C$13,K64='Tabla Impacto'!$D$13),"Moderado",IF(OR(K64='Tabla Impacto'!$C$14,K64='Tabla Impacto'!$D$14),"Mayor",IF(OR(K64='Tabla Impacto'!$C$15,K64='Tabla Impacto'!$D$15),"Catastrófico","")))))</f>
        <v/>
      </c>
      <c r="M64" s="197" t="str">
        <f>IF(L64="","",IF(L64="Leve",0.2,IF(L64="Menor",0.4,IF(L64="Moderado",0.6,IF(L64="Mayor",0.8,IF(L64="Catastrófico",1,))))))</f>
        <v/>
      </c>
      <c r="N64" s="194"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8" sqref="V38:W39"/>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IF(AND('Mapa final'!$H$10="Muy Alta",'Mapa final'!$L$10="Leve"),CONCATENATE("R",'Mapa final'!$A$10),"")</f>
        <v/>
      </c>
      <c r="K6" s="274"/>
      <c r="L6" s="274" t="str">
        <f>IF(AND('Mapa final'!$H$16="Muy Alta",'Mapa final'!$L$16="Leve"),CONCATENATE("R",'Mapa final'!$A$16),"")</f>
        <v/>
      </c>
      <c r="M6" s="274"/>
      <c r="N6" s="274" t="str">
        <f>IF(AND('Mapa final'!$H$22="Muy Alta",'Mapa final'!$L$22="Leve"),CONCATENATE("R",'Mapa final'!$A$22),"")</f>
        <v/>
      </c>
      <c r="O6" s="275"/>
      <c r="P6" s="273" t="str">
        <f>IF(AND('Mapa final'!$H$10="Muy Alta",'Mapa final'!$L$10="Menor"),CONCATENATE("R",'Mapa final'!$A$10),"")</f>
        <v/>
      </c>
      <c r="Q6" s="274"/>
      <c r="R6" s="274" t="str">
        <f>IF(AND('Mapa final'!$H$16="Muy Alta",'Mapa final'!$L$16="Menor"),CONCATENATE("R",'Mapa final'!$A$16),"")</f>
        <v/>
      </c>
      <c r="S6" s="274"/>
      <c r="T6" s="274" t="str">
        <f>IF(AND('Mapa final'!$H$22="Muy Alta",'Mapa final'!$L$22="Menor"),CONCATENATE("R",'Mapa final'!$A$22),"")</f>
        <v/>
      </c>
      <c r="U6" s="275"/>
      <c r="V6" s="273" t="str">
        <f>IF(AND('Mapa final'!$H$10="Muy Alta",'Mapa final'!$L$10="Moderado"),CONCATENATE("R",'Mapa final'!$A$10),"")</f>
        <v/>
      </c>
      <c r="W6" s="274"/>
      <c r="X6" s="274" t="str">
        <f>IF(AND('Mapa final'!$H$16="Muy Alta",'Mapa final'!$L$16="Moderado"),CONCATENATE("R",'Mapa final'!$A$16),"")</f>
        <v/>
      </c>
      <c r="Y6" s="274"/>
      <c r="Z6" s="274" t="str">
        <f>IF(AND('Mapa final'!$H$22="Muy Alta",'Mapa final'!$L$22="Moderado"),CONCATENATE("R",'Mapa final'!$A$22),"")</f>
        <v/>
      </c>
      <c r="AA6" s="275"/>
      <c r="AB6" s="273" t="str">
        <f>IF(AND('Mapa final'!$H$10="Muy Alta",'Mapa final'!$L$10="Mayor"),CONCATENATE("R",'Mapa final'!$A$10),"")</f>
        <v/>
      </c>
      <c r="AC6" s="274"/>
      <c r="AD6" s="274" t="str">
        <f>IF(AND('Mapa final'!$H$16="Muy Alta",'Mapa final'!$L$16="Mayor"),CONCATENATE("R",'Mapa final'!$A$16),"")</f>
        <v/>
      </c>
      <c r="AE6" s="274"/>
      <c r="AF6" s="274" t="str">
        <f>IF(AND('Mapa final'!$H$22="Muy Alta",'Mapa final'!$L$22="Mayor"),CONCATENATE("R",'Mapa final'!$A$22),"")</f>
        <v/>
      </c>
      <c r="AG6" s="275"/>
      <c r="AH6" s="263" t="str">
        <f>IF(AND('Mapa final'!$H$10="Muy Alta",'Mapa final'!$L$10="Catastrófico"),CONCATENATE("R",'Mapa final'!$A$10),"")</f>
        <v/>
      </c>
      <c r="AI6" s="264"/>
      <c r="AJ6" s="264" t="str">
        <f>IF(AND('Mapa final'!$H$16="Muy Alta",'Mapa final'!$L$16="Catastrófico"),CONCATENATE("R",'Mapa final'!$A$16),"")</f>
        <v/>
      </c>
      <c r="AK6" s="264"/>
      <c r="AL6" s="264" t="str">
        <f>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IF(AND('Mapa final'!$H$28="Muy Alta",'Mapa final'!$L$28="Leve"),CONCATENATE("R",'Mapa final'!$A$28),"")</f>
        <v/>
      </c>
      <c r="K8" s="267"/>
      <c r="L8" s="268" t="str">
        <f>IF(AND('Mapa final'!$H$34="Muy Alta",'Mapa final'!$L$34="Leve"),CONCATENATE("R",'Mapa final'!$A$34),"")</f>
        <v/>
      </c>
      <c r="M8" s="268"/>
      <c r="N8" s="268" t="str">
        <f>IF(AND('Mapa final'!$H$40="Muy Alta",'Mapa final'!$L$40="Leve"),CONCATENATE("R",'Mapa final'!$A$40),"")</f>
        <v/>
      </c>
      <c r="O8" s="269"/>
      <c r="P8" s="266" t="str">
        <f>IF(AND('Mapa final'!$H$28="Muy Alta",'Mapa final'!$L$28="Menor"),CONCATENATE("R",'Mapa final'!$A$28),"")</f>
        <v/>
      </c>
      <c r="Q8" s="267"/>
      <c r="R8" s="268" t="str">
        <f>IF(AND('Mapa final'!$H$34="Muy Alta",'Mapa final'!$L$34="Menor"),CONCATENATE("R",'Mapa final'!$A$34),"")</f>
        <v/>
      </c>
      <c r="S8" s="268"/>
      <c r="T8" s="268" t="str">
        <f>IF(AND('Mapa final'!$H$40="Muy Alta",'Mapa final'!$L$40="Menor"),CONCATENATE("R",'Mapa final'!$A$40),"")</f>
        <v/>
      </c>
      <c r="U8" s="269"/>
      <c r="V8" s="266" t="str">
        <f>IF(AND('Mapa final'!$H$28="Muy Alta",'Mapa final'!$L$28="Moderado"),CONCATENATE("R",'Mapa final'!$A$28),"")</f>
        <v/>
      </c>
      <c r="W8" s="267"/>
      <c r="X8" s="268" t="str">
        <f>IF(AND('Mapa final'!$H$34="Muy Alta",'Mapa final'!$L$34="Moderado"),CONCATENATE("R",'Mapa final'!$A$34),"")</f>
        <v/>
      </c>
      <c r="Y8" s="268"/>
      <c r="Z8" s="268" t="str">
        <f>IF(AND('Mapa final'!$H$40="Muy Alta",'Mapa final'!$L$40="Moderado"),CONCATENATE("R",'Mapa final'!$A$40),"")</f>
        <v/>
      </c>
      <c r="AA8" s="269"/>
      <c r="AB8" s="266" t="str">
        <f>IF(AND('Mapa final'!$H$28="Muy Alta",'Mapa final'!$L$28="Mayor"),CONCATENATE("R",'Mapa final'!$A$28),"")</f>
        <v/>
      </c>
      <c r="AC8" s="267"/>
      <c r="AD8" s="268" t="str">
        <f>IF(AND('Mapa final'!$H$34="Muy Alta",'Mapa final'!$L$34="Mayor"),CONCATENATE("R",'Mapa final'!$A$34),"")</f>
        <v/>
      </c>
      <c r="AE8" s="268"/>
      <c r="AF8" s="268" t="str">
        <f>IF(AND('Mapa final'!$H$40="Muy Alta",'Mapa final'!$L$40="Mayor"),CONCATENATE("R",'Mapa final'!$A$40),"")</f>
        <v/>
      </c>
      <c r="AG8" s="269"/>
      <c r="AH8" s="257" t="str">
        <f>IF(AND('Mapa final'!$H$28="Muy Alta",'Mapa final'!$L$28="Catastrófico"),CONCATENATE("R",'Mapa final'!$A$28),"")</f>
        <v/>
      </c>
      <c r="AI8" s="258"/>
      <c r="AJ8" s="258" t="str">
        <f>IF(AND('Mapa final'!$H$34="Muy Alta",'Mapa final'!$L$34="Catastrófico"),CONCATENATE("R",'Mapa final'!$A$34),"")</f>
        <v/>
      </c>
      <c r="AK8" s="258"/>
      <c r="AL8" s="258" t="str">
        <f>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IF(AND('Mapa final'!$H$46="Muy Alta",'Mapa final'!$L$46="Leve"),CONCATENATE("R",'Mapa final'!$A$46),"")</f>
        <v/>
      </c>
      <c r="K10" s="267"/>
      <c r="L10" s="268" t="str">
        <f>IF(AND('Mapa final'!$H$52="Muy Alta",'Mapa final'!$L$52="Leve"),CONCATENATE("R",'Mapa final'!$A$52),"")</f>
        <v/>
      </c>
      <c r="M10" s="268"/>
      <c r="N10" s="268" t="str">
        <f>IF(AND('Mapa final'!$H$58="Muy Alta",'Mapa final'!$L$58="Leve"),CONCATENATE("R",'Mapa final'!$A$58),"")</f>
        <v/>
      </c>
      <c r="O10" s="269"/>
      <c r="P10" s="266" t="str">
        <f>IF(AND('Mapa final'!$H$46="Muy Alta",'Mapa final'!$L$46="Menor"),CONCATENATE("R",'Mapa final'!$A$46),"")</f>
        <v/>
      </c>
      <c r="Q10" s="267"/>
      <c r="R10" s="268" t="str">
        <f>IF(AND('Mapa final'!$H$52="Muy Alta",'Mapa final'!$L$52="Menor"),CONCATENATE("R",'Mapa final'!$A$52),"")</f>
        <v/>
      </c>
      <c r="S10" s="268"/>
      <c r="T10" s="268" t="str">
        <f>IF(AND('Mapa final'!$H$58="Muy Alta",'Mapa final'!$L$58="Menor"),CONCATENATE("R",'Mapa final'!$A$58),"")</f>
        <v/>
      </c>
      <c r="U10" s="269"/>
      <c r="V10" s="266" t="str">
        <f>IF(AND('Mapa final'!$H$46="Muy Alta",'Mapa final'!$L$46="Moderado"),CONCATENATE("R",'Mapa final'!$A$46),"")</f>
        <v/>
      </c>
      <c r="W10" s="267"/>
      <c r="X10" s="268" t="str">
        <f>IF(AND('Mapa final'!$H$52="Muy Alta",'Mapa final'!$L$52="Moderado"),CONCATENATE("R",'Mapa final'!$A$52),"")</f>
        <v/>
      </c>
      <c r="Y10" s="268"/>
      <c r="Z10" s="268" t="str">
        <f>IF(AND('Mapa final'!$H$58="Muy Alta",'Mapa final'!$L$58="Moderado"),CONCATENATE("R",'Mapa final'!$A$58),"")</f>
        <v/>
      </c>
      <c r="AA10" s="269"/>
      <c r="AB10" s="266" t="str">
        <f>IF(AND('Mapa final'!$H$46="Muy Alta",'Mapa final'!$L$46="Mayor"),CONCATENATE("R",'Mapa final'!$A$46),"")</f>
        <v/>
      </c>
      <c r="AC10" s="267"/>
      <c r="AD10" s="268" t="str">
        <f>IF(AND('Mapa final'!$H$52="Muy Alta",'Mapa final'!$L$52="Mayor"),CONCATENATE("R",'Mapa final'!$A$52),"")</f>
        <v/>
      </c>
      <c r="AE10" s="268"/>
      <c r="AF10" s="268" t="str">
        <f>IF(AND('Mapa final'!$H$58="Muy Alta",'Mapa final'!$L$58="Mayor"),CONCATENATE("R",'Mapa final'!$A$58),"")</f>
        <v/>
      </c>
      <c r="AG10" s="269"/>
      <c r="AH10" s="257" t="str">
        <f>IF(AND('Mapa final'!$H$46="Muy Alta",'Mapa final'!$L$46="Catastrófico"),CONCATENATE("R",'Mapa final'!$A$46),"")</f>
        <v/>
      </c>
      <c r="AI10" s="258"/>
      <c r="AJ10" s="258" t="str">
        <f>IF(AND('Mapa final'!$H$52="Muy Alta",'Mapa final'!$L$52="Catastrófico"),CONCATENATE("R",'Mapa final'!$A$52),"")</f>
        <v/>
      </c>
      <c r="AK10" s="258"/>
      <c r="AL10" s="258" t="str">
        <f>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IF(AND('Mapa final'!$H$10="Alta",'Mapa final'!$L$10="Leve"),CONCATENATE("R",'Mapa final'!$A$10),"")</f>
        <v/>
      </c>
      <c r="K14" s="255"/>
      <c r="L14" s="255" t="str">
        <f>IF(AND('Mapa final'!$H$16="Alta",'Mapa final'!$L$16="Leve"),CONCATENATE("R",'Mapa final'!$A$16),"")</f>
        <v/>
      </c>
      <c r="M14" s="255"/>
      <c r="N14" s="255" t="str">
        <f>IF(AND('Mapa final'!$H$22="Alta",'Mapa final'!$L$22="Leve"),CONCATENATE("R",'Mapa final'!$A$22),"")</f>
        <v/>
      </c>
      <c r="O14" s="256"/>
      <c r="P14" s="254" t="str">
        <f>IF(AND('Mapa final'!$H$10="Alta",'Mapa final'!$L$10="Menor"),CONCATENATE("R",'Mapa final'!$A$10),"")</f>
        <v/>
      </c>
      <c r="Q14" s="255"/>
      <c r="R14" s="255" t="str">
        <f>IF(AND('Mapa final'!$H$16="Alta",'Mapa final'!$L$16="Menor"),CONCATENATE("R",'Mapa final'!$A$16),"")</f>
        <v/>
      </c>
      <c r="S14" s="255"/>
      <c r="T14" s="255" t="str">
        <f>IF(AND('Mapa final'!$H$22="Alta",'Mapa final'!$L$22="Menor"),CONCATENATE("R",'Mapa final'!$A$22),"")</f>
        <v/>
      </c>
      <c r="U14" s="256"/>
      <c r="V14" s="273" t="str">
        <f>IF(AND('Mapa final'!$H$10="Alta",'Mapa final'!$L$10="Moderado"),CONCATENATE("R",'Mapa final'!$A$10),"")</f>
        <v/>
      </c>
      <c r="W14" s="274"/>
      <c r="X14" s="274" t="str">
        <f>IF(AND('Mapa final'!$H$16="Alta",'Mapa final'!$L$16="Moderado"),CONCATENATE("R",'Mapa final'!$A$16),"")</f>
        <v/>
      </c>
      <c r="Y14" s="274"/>
      <c r="Z14" s="274" t="str">
        <f>IF(AND('Mapa final'!$H$22="Alta",'Mapa final'!$L$22="Moderado"),CONCATENATE("R",'Mapa final'!$A$22),"")</f>
        <v/>
      </c>
      <c r="AA14" s="275"/>
      <c r="AB14" s="273" t="str">
        <f>IF(AND('Mapa final'!$H$10="Alta",'Mapa final'!$L$10="Mayor"),CONCATENATE("R",'Mapa final'!$A$10),"")</f>
        <v/>
      </c>
      <c r="AC14" s="274"/>
      <c r="AD14" s="274" t="str">
        <f>IF(AND('Mapa final'!$H$16="Alta",'Mapa final'!$L$16="Mayor"),CONCATENATE("R",'Mapa final'!$A$16),"")</f>
        <v/>
      </c>
      <c r="AE14" s="274"/>
      <c r="AF14" s="274" t="str">
        <f>IF(AND('Mapa final'!$H$22="Alta",'Mapa final'!$L$22="Mayor"),CONCATENATE("R",'Mapa final'!$A$22),"")</f>
        <v/>
      </c>
      <c r="AG14" s="275"/>
      <c r="AH14" s="263" t="str">
        <f>IF(AND('Mapa final'!$H$10="Alta",'Mapa final'!$L$10="Catastrófico"),CONCATENATE("R",'Mapa final'!$A$10),"")</f>
        <v/>
      </c>
      <c r="AI14" s="264"/>
      <c r="AJ14" s="264" t="str">
        <f>IF(AND('Mapa final'!$H$16="Alta",'Mapa final'!$L$16="Catastrófico"),CONCATENATE("R",'Mapa final'!$A$16),"")</f>
        <v/>
      </c>
      <c r="AK14" s="264"/>
      <c r="AL14" s="264" t="str">
        <f>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IF(AND('Mapa final'!$H$28="Alta",'Mapa final'!$L$28="Leve"),CONCATENATE("R",'Mapa final'!$A$28),"")</f>
        <v/>
      </c>
      <c r="K16" s="249"/>
      <c r="L16" s="249" t="str">
        <f>IF(AND('Mapa final'!$H$34="Alta",'Mapa final'!$L$34="Leve"),CONCATENATE("R",'Mapa final'!$A$34),"")</f>
        <v/>
      </c>
      <c r="M16" s="249"/>
      <c r="N16" s="249" t="str">
        <f>IF(AND('Mapa final'!$H$40="Alta",'Mapa final'!$L$40="Leve"),CONCATENATE("R",'Mapa final'!$A$40),"")</f>
        <v/>
      </c>
      <c r="O16" s="250"/>
      <c r="P16" s="248" t="str">
        <f>IF(AND('Mapa final'!$H$28="Alta",'Mapa final'!$L$28="Menor"),CONCATENATE("R",'Mapa final'!$A$28),"")</f>
        <v/>
      </c>
      <c r="Q16" s="249"/>
      <c r="R16" s="249" t="str">
        <f>IF(AND('Mapa final'!$H$34="Alta",'Mapa final'!$L$34="Menor"),CONCATENATE("R",'Mapa final'!$A$34),"")</f>
        <v/>
      </c>
      <c r="S16" s="249"/>
      <c r="T16" s="249" t="str">
        <f>IF(AND('Mapa final'!$H$40="Alta",'Mapa final'!$L$40="Menor"),CONCATENATE("R",'Mapa final'!$A$40),"")</f>
        <v/>
      </c>
      <c r="U16" s="250"/>
      <c r="V16" s="266" t="str">
        <f>IF(AND('Mapa final'!$H$28="Alta",'Mapa final'!$L$28="Moderado"),CONCATENATE("R",'Mapa final'!$A$28),"")</f>
        <v/>
      </c>
      <c r="W16" s="267"/>
      <c r="X16" s="268" t="str">
        <f>IF(AND('Mapa final'!$H$34="Alta",'Mapa final'!$L$34="Moderado"),CONCATENATE("R",'Mapa final'!$A$34),"")</f>
        <v/>
      </c>
      <c r="Y16" s="268"/>
      <c r="Z16" s="268" t="str">
        <f>IF(AND('Mapa final'!$H$40="Alta",'Mapa final'!$L$40="Moderado"),CONCATENATE("R",'Mapa final'!$A$40),"")</f>
        <v/>
      </c>
      <c r="AA16" s="269"/>
      <c r="AB16" s="266" t="str">
        <f>IF(AND('Mapa final'!$H$28="Alta",'Mapa final'!$L$28="Mayor"),CONCATENATE("R",'Mapa final'!$A$28),"")</f>
        <v/>
      </c>
      <c r="AC16" s="267"/>
      <c r="AD16" s="268" t="str">
        <f>IF(AND('Mapa final'!$H$34="Alta",'Mapa final'!$L$34="Mayor"),CONCATENATE("R",'Mapa final'!$A$34),"")</f>
        <v/>
      </c>
      <c r="AE16" s="268"/>
      <c r="AF16" s="268" t="str">
        <f>IF(AND('Mapa final'!$H$40="Alta",'Mapa final'!$L$40="Mayor"),CONCATENATE("R",'Mapa final'!$A$40),"")</f>
        <v/>
      </c>
      <c r="AG16" s="269"/>
      <c r="AH16" s="257" t="str">
        <f>IF(AND('Mapa final'!$H$28="Alta",'Mapa final'!$L$28="Catastrófico"),CONCATENATE("R",'Mapa final'!$A$28),"")</f>
        <v/>
      </c>
      <c r="AI16" s="258"/>
      <c r="AJ16" s="258" t="str">
        <f>IF(AND('Mapa final'!$H$34="Alta",'Mapa final'!$L$34="Catastrófico"),CONCATENATE("R",'Mapa final'!$A$34),"")</f>
        <v/>
      </c>
      <c r="AK16" s="258"/>
      <c r="AL16" s="258" t="str">
        <f>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IF(AND('Mapa final'!$H$46="Alta",'Mapa final'!$L$46="Leve"),CONCATENATE("R",'Mapa final'!$A$46),"")</f>
        <v/>
      </c>
      <c r="K18" s="249"/>
      <c r="L18" s="249" t="str">
        <f>IF(AND('Mapa final'!$H$52="Alta",'Mapa final'!$L$52="Leve"),CONCATENATE("R",'Mapa final'!$A$52),"")</f>
        <v/>
      </c>
      <c r="M18" s="249"/>
      <c r="N18" s="249" t="str">
        <f>IF(AND('Mapa final'!$H$58="Alta",'Mapa final'!$L$58="Leve"),CONCATENATE("R",'Mapa final'!$A$58),"")</f>
        <v/>
      </c>
      <c r="O18" s="250"/>
      <c r="P18" s="248" t="str">
        <f>IF(AND('Mapa final'!$H$46="Alta",'Mapa final'!$L$46="Menor"),CONCATENATE("R",'Mapa final'!$A$46),"")</f>
        <v/>
      </c>
      <c r="Q18" s="249"/>
      <c r="R18" s="249" t="str">
        <f>IF(AND('Mapa final'!$H$52="Alta",'Mapa final'!$L$52="Menor"),CONCATENATE("R",'Mapa final'!$A$52),"")</f>
        <v/>
      </c>
      <c r="S18" s="249"/>
      <c r="T18" s="249" t="str">
        <f>IF(AND('Mapa final'!$H$58="Alta",'Mapa final'!$L$58="Menor"),CONCATENATE("R",'Mapa final'!$A$58),"")</f>
        <v/>
      </c>
      <c r="U18" s="250"/>
      <c r="V18" s="266" t="str">
        <f>IF(AND('Mapa final'!$H$46="Alta",'Mapa final'!$L$46="Moderado"),CONCATENATE("R",'Mapa final'!$A$46),"")</f>
        <v/>
      </c>
      <c r="W18" s="267"/>
      <c r="X18" s="268" t="str">
        <f>IF(AND('Mapa final'!$H$52="Alta",'Mapa final'!$L$52="Moderado"),CONCATENATE("R",'Mapa final'!$A$52),"")</f>
        <v/>
      </c>
      <c r="Y18" s="268"/>
      <c r="Z18" s="268" t="str">
        <f>IF(AND('Mapa final'!$H$58="Alta",'Mapa final'!$L$58="Moderado"),CONCATENATE("R",'Mapa final'!$A$58),"")</f>
        <v/>
      </c>
      <c r="AA18" s="269"/>
      <c r="AB18" s="266" t="str">
        <f>IF(AND('Mapa final'!$H$46="Alta",'Mapa final'!$L$46="Mayor"),CONCATENATE("R",'Mapa final'!$A$46),"")</f>
        <v/>
      </c>
      <c r="AC18" s="267"/>
      <c r="AD18" s="268" t="str">
        <f>IF(AND('Mapa final'!$H$52="Alta",'Mapa final'!$L$52="Mayor"),CONCATENATE("R",'Mapa final'!$A$52),"")</f>
        <v/>
      </c>
      <c r="AE18" s="268"/>
      <c r="AF18" s="268" t="str">
        <f>IF(AND('Mapa final'!$H$58="Alta",'Mapa final'!$L$58="Mayor"),CONCATENATE("R",'Mapa final'!$A$58),"")</f>
        <v/>
      </c>
      <c r="AG18" s="269"/>
      <c r="AH18" s="257" t="str">
        <f>IF(AND('Mapa final'!$H$46="Alta",'Mapa final'!$L$46="Catastrófico"),CONCATENATE("R",'Mapa final'!$A$46),"")</f>
        <v/>
      </c>
      <c r="AI18" s="258"/>
      <c r="AJ18" s="258" t="str">
        <f>IF(AND('Mapa final'!$H$52="Alta",'Mapa final'!$L$52="Catastrófico"),CONCATENATE("R",'Mapa final'!$A$52),"")</f>
        <v/>
      </c>
      <c r="AK18" s="258"/>
      <c r="AL18" s="258" t="str">
        <f>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IF(AND('Mapa final'!$H$10="Media",'Mapa final'!$L$10="Leve"),CONCATENATE("R",'Mapa final'!$A$10),"")</f>
        <v/>
      </c>
      <c r="K22" s="255"/>
      <c r="L22" s="255" t="str">
        <f>IF(AND('Mapa final'!$H$16="Media",'Mapa final'!$L$16="Leve"),CONCATENATE("R",'Mapa final'!$A$16),"")</f>
        <v/>
      </c>
      <c r="M22" s="255"/>
      <c r="N22" s="255" t="str">
        <f>IF(AND('Mapa final'!$H$22="Media",'Mapa final'!$L$22="Leve"),CONCATENATE("R",'Mapa final'!$A$22),"")</f>
        <v/>
      </c>
      <c r="O22" s="256"/>
      <c r="P22" s="254" t="str">
        <f>IF(AND('Mapa final'!$H$10="Media",'Mapa final'!$L$10="Menor"),CONCATENATE("R",'Mapa final'!$A$10),"")</f>
        <v/>
      </c>
      <c r="Q22" s="255"/>
      <c r="R22" s="255" t="str">
        <f>IF(AND('Mapa final'!$H$16="Media",'Mapa final'!$L$16="Menor"),CONCATENATE("R",'Mapa final'!$A$16),"")</f>
        <v/>
      </c>
      <c r="S22" s="255"/>
      <c r="T22" s="255" t="str">
        <f>IF(AND('Mapa final'!$H$22="Media",'Mapa final'!$L$22="Menor"),CONCATENATE("R",'Mapa final'!$A$22),"")</f>
        <v/>
      </c>
      <c r="U22" s="256"/>
      <c r="V22" s="254" t="str">
        <f>IF(AND('Mapa final'!$H$10="Media",'Mapa final'!$L$10="Moderado"),CONCATENATE("R",'Mapa final'!$A$10),"")</f>
        <v/>
      </c>
      <c r="W22" s="255"/>
      <c r="X22" s="255" t="str">
        <f>IF(AND('Mapa final'!$H$16="Media",'Mapa final'!$L$16="Moderado"),CONCATENATE("R",'Mapa final'!$A$16),"")</f>
        <v/>
      </c>
      <c r="Y22" s="255"/>
      <c r="Z22" s="255" t="str">
        <f>IF(AND('Mapa final'!$H$22="Media",'Mapa final'!$L$22="Moderado"),CONCATENATE("R",'Mapa final'!$A$22),"")</f>
        <v/>
      </c>
      <c r="AA22" s="256"/>
      <c r="AB22" s="273" t="str">
        <f>IF(AND('Mapa final'!$H$10="Media",'Mapa final'!$L$10="Mayor"),CONCATENATE("R",'Mapa final'!$A$10),"")</f>
        <v/>
      </c>
      <c r="AC22" s="274"/>
      <c r="AD22" s="274" t="str">
        <f>IF(AND('Mapa final'!$H$16="Media",'Mapa final'!$L$16="Mayor"),CONCATENATE("R",'Mapa final'!$A$16),"")</f>
        <v/>
      </c>
      <c r="AE22" s="274"/>
      <c r="AF22" s="274" t="str">
        <f>IF(AND('Mapa final'!$H$22="Media",'Mapa final'!$L$22="Mayor"),CONCATENATE("R",'Mapa final'!$A$22),"")</f>
        <v/>
      </c>
      <c r="AG22" s="275"/>
      <c r="AH22" s="263" t="str">
        <f>IF(AND('Mapa final'!$H$10="Media",'Mapa final'!$L$10="Catastrófico"),CONCATENATE("R",'Mapa final'!$A$10),"")</f>
        <v/>
      </c>
      <c r="AI22" s="264"/>
      <c r="AJ22" s="264" t="str">
        <f>IF(AND('Mapa final'!$H$16="Media",'Mapa final'!$L$16="Catastrófico"),CONCATENATE("R",'Mapa final'!$A$16),"")</f>
        <v/>
      </c>
      <c r="AK22" s="264"/>
      <c r="AL22" s="264" t="str">
        <f>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IF(AND('Mapa final'!$H$28="Media",'Mapa final'!$L$28="Leve"),CONCATENATE("R",'Mapa final'!$A$28),"")</f>
        <v/>
      </c>
      <c r="K24" s="249"/>
      <c r="L24" s="249" t="str">
        <f>IF(AND('Mapa final'!$H$34="Media",'Mapa final'!$L$34="Leve"),CONCATENATE("R",'Mapa final'!$A$34),"")</f>
        <v/>
      </c>
      <c r="M24" s="249"/>
      <c r="N24" s="249" t="str">
        <f>IF(AND('Mapa final'!$H$40="Media",'Mapa final'!$L$40="Leve"),CONCATENATE("R",'Mapa final'!$A$40),"")</f>
        <v/>
      </c>
      <c r="O24" s="250"/>
      <c r="P24" s="248" t="str">
        <f>IF(AND('Mapa final'!$H$28="Media",'Mapa final'!$L$28="Menor"),CONCATENATE("R",'Mapa final'!$A$28),"")</f>
        <v/>
      </c>
      <c r="Q24" s="249"/>
      <c r="R24" s="249" t="str">
        <f>IF(AND('Mapa final'!$H$34="Media",'Mapa final'!$L$34="Menor"),CONCATENATE("R",'Mapa final'!$A$34),"")</f>
        <v/>
      </c>
      <c r="S24" s="249"/>
      <c r="T24" s="249" t="str">
        <f>IF(AND('Mapa final'!$H$40="Media",'Mapa final'!$L$40="Menor"),CONCATENATE("R",'Mapa final'!$A$40),"")</f>
        <v/>
      </c>
      <c r="U24" s="250"/>
      <c r="V24" s="248" t="str">
        <f>IF(AND('Mapa final'!$H$28="Media",'Mapa final'!$L$28="Moderado"),CONCATENATE("R",'Mapa final'!$A$28),"")</f>
        <v/>
      </c>
      <c r="W24" s="249"/>
      <c r="X24" s="249" t="str">
        <f>IF(AND('Mapa final'!$H$34="Media",'Mapa final'!$L$34="Moderado"),CONCATENATE("R",'Mapa final'!$A$34),"")</f>
        <v/>
      </c>
      <c r="Y24" s="249"/>
      <c r="Z24" s="249" t="str">
        <f>IF(AND('Mapa final'!$H$40="Media",'Mapa final'!$L$40="Moderado"),CONCATENATE("R",'Mapa final'!$A$40),"")</f>
        <v/>
      </c>
      <c r="AA24" s="250"/>
      <c r="AB24" s="266" t="str">
        <f>IF(AND('Mapa final'!$H$28="Media",'Mapa final'!$L$28="Mayor"),CONCATENATE("R",'Mapa final'!$A$28),"")</f>
        <v/>
      </c>
      <c r="AC24" s="267"/>
      <c r="AD24" s="268" t="str">
        <f>IF(AND('Mapa final'!$H$34="Media",'Mapa final'!$L$34="Mayor"),CONCATENATE("R",'Mapa final'!$A$34),"")</f>
        <v/>
      </c>
      <c r="AE24" s="268"/>
      <c r="AF24" s="268" t="str">
        <f>IF(AND('Mapa final'!$H$40="Media",'Mapa final'!$L$40="Mayor"),CONCATENATE("R",'Mapa final'!$A$40),"")</f>
        <v/>
      </c>
      <c r="AG24" s="269"/>
      <c r="AH24" s="257" t="str">
        <f>IF(AND('Mapa final'!$H$28="Media",'Mapa final'!$L$28="Catastrófico"),CONCATENATE("R",'Mapa final'!$A$28),"")</f>
        <v/>
      </c>
      <c r="AI24" s="258"/>
      <c r="AJ24" s="258" t="str">
        <f>IF(AND('Mapa final'!$H$34="Media",'Mapa final'!$L$34="Catastrófico"),CONCATENATE("R",'Mapa final'!$A$34),"")</f>
        <v/>
      </c>
      <c r="AK24" s="258"/>
      <c r="AL24" s="258" t="str">
        <f>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IF(AND('Mapa final'!$H$46="Media",'Mapa final'!$L$46="Leve"),CONCATENATE("R",'Mapa final'!$A$46),"")</f>
        <v/>
      </c>
      <c r="K26" s="249"/>
      <c r="L26" s="249" t="str">
        <f>IF(AND('Mapa final'!$H$52="Media",'Mapa final'!$L$52="Leve"),CONCATENATE("R",'Mapa final'!$A$52),"")</f>
        <v/>
      </c>
      <c r="M26" s="249"/>
      <c r="N26" s="249" t="str">
        <f>IF(AND('Mapa final'!$H$58="Media",'Mapa final'!$L$58="Leve"),CONCATENATE("R",'Mapa final'!$A$58),"")</f>
        <v/>
      </c>
      <c r="O26" s="250"/>
      <c r="P26" s="248" t="str">
        <f>IF(AND('Mapa final'!$H$46="Media",'Mapa final'!$L$46="Menor"),CONCATENATE("R",'Mapa final'!$A$46),"")</f>
        <v/>
      </c>
      <c r="Q26" s="249"/>
      <c r="R26" s="249" t="str">
        <f>IF(AND('Mapa final'!$H$52="Media",'Mapa final'!$L$52="Menor"),CONCATENATE("R",'Mapa final'!$A$52),"")</f>
        <v/>
      </c>
      <c r="S26" s="249"/>
      <c r="T26" s="249" t="str">
        <f>IF(AND('Mapa final'!$H$58="Media",'Mapa final'!$L$58="Menor"),CONCATENATE("R",'Mapa final'!$A$58),"")</f>
        <v/>
      </c>
      <c r="U26" s="250"/>
      <c r="V26" s="248" t="str">
        <f>IF(AND('Mapa final'!$H$46="Media",'Mapa final'!$L$46="Moderado"),CONCATENATE("R",'Mapa final'!$A$46),"")</f>
        <v/>
      </c>
      <c r="W26" s="249"/>
      <c r="X26" s="249" t="str">
        <f>IF(AND('Mapa final'!$H$52="Media",'Mapa final'!$L$52="Moderado"),CONCATENATE("R",'Mapa final'!$A$52),"")</f>
        <v/>
      </c>
      <c r="Y26" s="249"/>
      <c r="Z26" s="249" t="str">
        <f>IF(AND('Mapa final'!$H$58="Media",'Mapa final'!$L$58="Moderado"),CONCATENATE("R",'Mapa final'!$A$58),"")</f>
        <v/>
      </c>
      <c r="AA26" s="250"/>
      <c r="AB26" s="266" t="str">
        <f>IF(AND('Mapa final'!$H$46="Media",'Mapa final'!$L$46="Mayor"),CONCATENATE("R",'Mapa final'!$A$46),"")</f>
        <v/>
      </c>
      <c r="AC26" s="267"/>
      <c r="AD26" s="268" t="str">
        <f>IF(AND('Mapa final'!$H$52="Media",'Mapa final'!$L$52="Mayor"),CONCATENATE("R",'Mapa final'!$A$52),"")</f>
        <v/>
      </c>
      <c r="AE26" s="268"/>
      <c r="AF26" s="268" t="str">
        <f>IF(AND('Mapa final'!$H$58="Media",'Mapa final'!$L$58="Mayor"),CONCATENATE("R",'Mapa final'!$A$58),"")</f>
        <v/>
      </c>
      <c r="AG26" s="269"/>
      <c r="AH26" s="257" t="str">
        <f>IF(AND('Mapa final'!$H$46="Media",'Mapa final'!$L$46="Catastrófico"),CONCATENATE("R",'Mapa final'!$A$46),"")</f>
        <v/>
      </c>
      <c r="AI26" s="258"/>
      <c r="AJ26" s="258" t="str">
        <f>IF(AND('Mapa final'!$H$52="Media",'Mapa final'!$L$52="Catastrófico"),CONCATENATE("R",'Mapa final'!$A$52),"")</f>
        <v/>
      </c>
      <c r="AK26" s="258"/>
      <c r="AL26" s="258" t="str">
        <f>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IF(AND('Mapa final'!$H$10="Baja",'Mapa final'!$L$10="Leve"),CONCATENATE("R",'Mapa final'!$A$10),"")</f>
        <v/>
      </c>
      <c r="K30" s="246"/>
      <c r="L30" s="246" t="str">
        <f>IF(AND('Mapa final'!$H$16="Baja",'Mapa final'!$L$16="Leve"),CONCATENATE("R",'Mapa final'!$A$16),"")</f>
        <v/>
      </c>
      <c r="M30" s="246"/>
      <c r="N30" s="246" t="str">
        <f>IF(AND('Mapa final'!$H$22="Baja",'Mapa final'!$L$22="Leve"),CONCATENATE("R",'Mapa final'!$A$22),"")</f>
        <v/>
      </c>
      <c r="O30" s="247"/>
      <c r="P30" s="255" t="str">
        <f>IF(AND('Mapa final'!$H$10="Baja",'Mapa final'!$L$10="Menor"),CONCATENATE("R",'Mapa final'!$A$10),"")</f>
        <v/>
      </c>
      <c r="Q30" s="255"/>
      <c r="R30" s="255" t="str">
        <f>IF(AND('Mapa final'!$H$16="Baja",'Mapa final'!$L$16="Menor"),CONCATENATE("R",'Mapa final'!$A$16),"")</f>
        <v/>
      </c>
      <c r="S30" s="255"/>
      <c r="T30" s="255" t="str">
        <f>IF(AND('Mapa final'!$H$22="Baja",'Mapa final'!$L$22="Menor"),CONCATENATE("R",'Mapa final'!$A$22),"")</f>
        <v/>
      </c>
      <c r="U30" s="256"/>
      <c r="V30" s="254" t="str">
        <f>IF(AND('Mapa final'!$H$10="Baja",'Mapa final'!$L$10="Moderado"),CONCATENATE("R",'Mapa final'!$A$10),"")</f>
        <v>R1</v>
      </c>
      <c r="W30" s="255"/>
      <c r="X30" s="255" t="str">
        <f>IF(AND('Mapa final'!$H$16="Baja",'Mapa final'!$L$16="Moderado"),CONCATENATE("R",'Mapa final'!$A$16),"")</f>
        <v/>
      </c>
      <c r="Y30" s="255"/>
      <c r="Z30" s="255" t="str">
        <f>IF(AND('Mapa final'!$H$22="Baja",'Mapa final'!$L$22="Moderado"),CONCATENATE("R",'Mapa final'!$A$22),"")</f>
        <v/>
      </c>
      <c r="AA30" s="256"/>
      <c r="AB30" s="273" t="str">
        <f>IF(AND('Mapa final'!$H$10="Baja",'Mapa final'!$L$10="Mayor"),CONCATENATE("R",'Mapa final'!$A$10),"")</f>
        <v/>
      </c>
      <c r="AC30" s="274"/>
      <c r="AD30" s="274" t="str">
        <f>IF(AND('Mapa final'!$H$16="Baja",'Mapa final'!$L$16="Mayor"),CONCATENATE("R",'Mapa final'!$A$16),"")</f>
        <v/>
      </c>
      <c r="AE30" s="274"/>
      <c r="AF30" s="274" t="str">
        <f>IF(AND('Mapa final'!$H$22="Baja",'Mapa final'!$L$22="Mayor"),CONCATENATE("R",'Mapa final'!$A$22),"")</f>
        <v/>
      </c>
      <c r="AG30" s="275"/>
      <c r="AH30" s="263" t="str">
        <f>IF(AND('Mapa final'!$H$10="Baja",'Mapa final'!$L$10="Catastrófico"),CONCATENATE("R",'Mapa final'!$A$10),"")</f>
        <v/>
      </c>
      <c r="AI30" s="264"/>
      <c r="AJ30" s="264" t="str">
        <f>IF(AND('Mapa final'!$H$16="Baja",'Mapa final'!$L$16="Catastrófico"),CONCATENATE("R",'Mapa final'!$A$16),"")</f>
        <v/>
      </c>
      <c r="AK30" s="264"/>
      <c r="AL30" s="264" t="str">
        <f>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IF(AND('Mapa final'!$H$28="Baja",'Mapa final'!$L$28="Leve"),CONCATENATE("R",'Mapa final'!$A$28),"")</f>
        <v/>
      </c>
      <c r="K32" s="240"/>
      <c r="L32" s="240" t="str">
        <f>IF(AND('Mapa final'!$H$34="Baja",'Mapa final'!$L$34="Leve"),CONCATENATE("R",'Mapa final'!$A$34),"")</f>
        <v/>
      </c>
      <c r="M32" s="240"/>
      <c r="N32" s="240" t="str">
        <f>IF(AND('Mapa final'!$H$40="Baja",'Mapa final'!$L$40="Leve"),CONCATENATE("R",'Mapa final'!$A$40),"")</f>
        <v/>
      </c>
      <c r="O32" s="241"/>
      <c r="P32" s="249" t="str">
        <f>IF(AND('Mapa final'!$H$28="Baja",'Mapa final'!$L$28="Menor"),CONCATENATE("R",'Mapa final'!$A$28),"")</f>
        <v/>
      </c>
      <c r="Q32" s="249"/>
      <c r="R32" s="249" t="str">
        <f>IF(AND('Mapa final'!$H$34="Baja",'Mapa final'!$L$34="Menor"),CONCATENATE("R",'Mapa final'!$A$34),"")</f>
        <v/>
      </c>
      <c r="S32" s="249"/>
      <c r="T32" s="249" t="str">
        <f>IF(AND('Mapa final'!$H$40="Baja",'Mapa final'!$L$40="Menor"),CONCATENATE("R",'Mapa final'!$A$40),"")</f>
        <v/>
      </c>
      <c r="U32" s="250"/>
      <c r="V32" s="248" t="str">
        <f>IF(AND('Mapa final'!$H$28="Baja",'Mapa final'!$L$28="Moderado"),CONCATENATE("R",'Mapa final'!$A$28),"")</f>
        <v/>
      </c>
      <c r="W32" s="249"/>
      <c r="X32" s="249" t="str">
        <f>IF(AND('Mapa final'!$H$34="Baja",'Mapa final'!$L$34="Moderado"),CONCATENATE("R",'Mapa final'!$A$34),"")</f>
        <v/>
      </c>
      <c r="Y32" s="249"/>
      <c r="Z32" s="249" t="str">
        <f>IF(AND('Mapa final'!$H$40="Baja",'Mapa final'!$L$40="Moderado"),CONCATENATE("R",'Mapa final'!$A$40),"")</f>
        <v/>
      </c>
      <c r="AA32" s="250"/>
      <c r="AB32" s="266" t="str">
        <f>IF(AND('Mapa final'!$H$28="Baja",'Mapa final'!$L$28="Mayor"),CONCATENATE("R",'Mapa final'!$A$28),"")</f>
        <v/>
      </c>
      <c r="AC32" s="267"/>
      <c r="AD32" s="268" t="str">
        <f>IF(AND('Mapa final'!$H$34="Baja",'Mapa final'!$L$34="Mayor"),CONCATENATE("R",'Mapa final'!$A$34),"")</f>
        <v/>
      </c>
      <c r="AE32" s="268"/>
      <c r="AF32" s="268" t="str">
        <f>IF(AND('Mapa final'!$H$40="Baja",'Mapa final'!$L$40="Mayor"),CONCATENATE("R",'Mapa final'!$A$40),"")</f>
        <v/>
      </c>
      <c r="AG32" s="269"/>
      <c r="AH32" s="257" t="str">
        <f>IF(AND('Mapa final'!$H$28="Baja",'Mapa final'!$L$28="Catastrófico"),CONCATENATE("R",'Mapa final'!$A$28),"")</f>
        <v/>
      </c>
      <c r="AI32" s="258"/>
      <c r="AJ32" s="258" t="str">
        <f>IF(AND('Mapa final'!$H$34="Baja",'Mapa final'!$L$34="Catastrófico"),CONCATENATE("R",'Mapa final'!$A$34),"")</f>
        <v/>
      </c>
      <c r="AK32" s="258"/>
      <c r="AL32" s="258" t="str">
        <f>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IF(AND('Mapa final'!$H$46="Baja",'Mapa final'!$L$46="Leve"),CONCATENATE("R",'Mapa final'!$A$46),"")</f>
        <v/>
      </c>
      <c r="K34" s="240"/>
      <c r="L34" s="240" t="str">
        <f>IF(AND('Mapa final'!$H$52="Baja",'Mapa final'!$L$52="Leve"),CONCATENATE("R",'Mapa final'!$A$52),"")</f>
        <v/>
      </c>
      <c r="M34" s="240"/>
      <c r="N34" s="240" t="str">
        <f>IF(AND('Mapa final'!$H$58="Baja",'Mapa final'!$L$58="Leve"),CONCATENATE("R",'Mapa final'!$A$58),"")</f>
        <v/>
      </c>
      <c r="O34" s="241"/>
      <c r="P34" s="249" t="str">
        <f>IF(AND('Mapa final'!$H$46="Baja",'Mapa final'!$L$46="Menor"),CONCATENATE("R",'Mapa final'!$A$46),"")</f>
        <v/>
      </c>
      <c r="Q34" s="249"/>
      <c r="R34" s="249" t="str">
        <f>IF(AND('Mapa final'!$H$52="Baja",'Mapa final'!$L$52="Menor"),CONCATENATE("R",'Mapa final'!$A$52),"")</f>
        <v/>
      </c>
      <c r="S34" s="249"/>
      <c r="T34" s="249" t="str">
        <f>IF(AND('Mapa final'!$H$58="Baja",'Mapa final'!$L$58="Menor"),CONCATENATE("R",'Mapa final'!$A$58),"")</f>
        <v/>
      </c>
      <c r="U34" s="250"/>
      <c r="V34" s="248" t="str">
        <f>IF(AND('Mapa final'!$H$46="Baja",'Mapa final'!$L$46="Moderado"),CONCATENATE("R",'Mapa final'!$A$46),"")</f>
        <v/>
      </c>
      <c r="W34" s="249"/>
      <c r="X34" s="249" t="str">
        <f>IF(AND('Mapa final'!$H$52="Baja",'Mapa final'!$L$52="Moderado"),CONCATENATE("R",'Mapa final'!$A$52),"")</f>
        <v/>
      </c>
      <c r="Y34" s="249"/>
      <c r="Z34" s="249" t="str">
        <f>IF(AND('Mapa final'!$H$58="Baja",'Mapa final'!$L$58="Moderado"),CONCATENATE("R",'Mapa final'!$A$58),"")</f>
        <v/>
      </c>
      <c r="AA34" s="250"/>
      <c r="AB34" s="266" t="str">
        <f>IF(AND('Mapa final'!$H$46="Baja",'Mapa final'!$L$46="Mayor"),CONCATENATE("R",'Mapa final'!$A$46),"")</f>
        <v/>
      </c>
      <c r="AC34" s="267"/>
      <c r="AD34" s="268" t="str">
        <f>IF(AND('Mapa final'!$H$52="Baja",'Mapa final'!$L$52="Mayor"),CONCATENATE("R",'Mapa final'!$A$52),"")</f>
        <v/>
      </c>
      <c r="AE34" s="268"/>
      <c r="AF34" s="268" t="str">
        <f>IF(AND('Mapa final'!$H$58="Baja",'Mapa final'!$L$58="Mayor"),CONCATENATE("R",'Mapa final'!$A$58),"")</f>
        <v/>
      </c>
      <c r="AG34" s="269"/>
      <c r="AH34" s="257" t="str">
        <f>IF(AND('Mapa final'!$H$46="Baja",'Mapa final'!$L$46="Catastrófico"),CONCATENATE("R",'Mapa final'!$A$46),"")</f>
        <v/>
      </c>
      <c r="AI34" s="258"/>
      <c r="AJ34" s="258" t="str">
        <f>IF(AND('Mapa final'!$H$52="Baja",'Mapa final'!$L$52="Catastrófico"),CONCATENATE("R",'Mapa final'!$A$52),"")</f>
        <v/>
      </c>
      <c r="AK34" s="258"/>
      <c r="AL34" s="258" t="str">
        <f>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IF(AND('Mapa final'!$H$10="Muy Baja",'Mapa final'!$L$10="Leve"),CONCATENATE("R",'Mapa final'!$A$10),"")</f>
        <v/>
      </c>
      <c r="K38" s="246"/>
      <c r="L38" s="246" t="str">
        <f>IF(AND('Mapa final'!$H$16="Muy Baja",'Mapa final'!$L$16="Leve"),CONCATENATE("R",'Mapa final'!$A$16),"")</f>
        <v/>
      </c>
      <c r="M38" s="246"/>
      <c r="N38" s="246" t="str">
        <f>IF(AND('Mapa final'!$H$22="Muy Baja",'Mapa final'!$L$22="Leve"),CONCATENATE("R",'Mapa final'!$A$22),"")</f>
        <v/>
      </c>
      <c r="O38" s="247"/>
      <c r="P38" s="245" t="str">
        <f>IF(AND('Mapa final'!$H$10="Muy Baja",'Mapa final'!$L$10="Menor"),CONCATENATE("R",'Mapa final'!$A$10),"")</f>
        <v/>
      </c>
      <c r="Q38" s="246"/>
      <c r="R38" s="246" t="str">
        <f>IF(AND('Mapa final'!$H$16="Muy Baja",'Mapa final'!$L$16="Menor"),CONCATENATE("R",'Mapa final'!$A$16),"")</f>
        <v/>
      </c>
      <c r="S38" s="246"/>
      <c r="T38" s="246" t="str">
        <f>IF(AND('Mapa final'!$H$22="Muy Baja",'Mapa final'!$L$22="Menor"),CONCATENATE("R",'Mapa final'!$A$22),"")</f>
        <v/>
      </c>
      <c r="U38" s="247"/>
      <c r="V38" s="254" t="str">
        <f>IF(AND('Mapa final'!$H$10="Muy Baja",'Mapa final'!$L$10="Moderado"),CONCATENATE("R",'Mapa final'!$A$10),"")</f>
        <v/>
      </c>
      <c r="W38" s="255"/>
      <c r="X38" s="255" t="str">
        <f>IF(AND('Mapa final'!$H$16="Muy Baja",'Mapa final'!$L$16="Moderado"),CONCATENATE("R",'Mapa final'!$A$16),"")</f>
        <v/>
      </c>
      <c r="Y38" s="255"/>
      <c r="Z38" s="255" t="str">
        <f>IF(AND('Mapa final'!$H$22="Muy Baja",'Mapa final'!$L$22="Moderado"),CONCATENATE("R",'Mapa final'!$A$22),"")</f>
        <v/>
      </c>
      <c r="AA38" s="256"/>
      <c r="AB38" s="273" t="str">
        <f>IF(AND('Mapa final'!$H$10="Muy Baja",'Mapa final'!$L$10="Mayor"),CONCATENATE("R",'Mapa final'!$A$10),"")</f>
        <v/>
      </c>
      <c r="AC38" s="274"/>
      <c r="AD38" s="274" t="str">
        <f>IF(AND('Mapa final'!$H$16="Muy Baja",'Mapa final'!$L$16="Mayor"),CONCATENATE("R",'Mapa final'!$A$16),"")</f>
        <v/>
      </c>
      <c r="AE38" s="274"/>
      <c r="AF38" s="274" t="str">
        <f>IF(AND('Mapa final'!$H$22="Muy Baja",'Mapa final'!$L$22="Mayor"),CONCATENATE("R",'Mapa final'!$A$22),"")</f>
        <v/>
      </c>
      <c r="AG38" s="275"/>
      <c r="AH38" s="263" t="str">
        <f>IF(AND('Mapa final'!$H$10="Muy Baja",'Mapa final'!$L$10="Catastrófico"),CONCATENATE("R",'Mapa final'!$A$10),"")</f>
        <v/>
      </c>
      <c r="AI38" s="264"/>
      <c r="AJ38" s="264" t="str">
        <f>IF(AND('Mapa final'!$H$16="Muy Baja",'Mapa final'!$L$16="Catastrófico"),CONCATENATE("R",'Mapa final'!$A$16),"")</f>
        <v/>
      </c>
      <c r="AK38" s="264"/>
      <c r="AL38" s="264" t="str">
        <f>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IF(AND('Mapa final'!$H$28="Muy Baja",'Mapa final'!$L$28="Leve"),CONCATENATE("R",'Mapa final'!$A$28),"")</f>
        <v/>
      </c>
      <c r="K40" s="240"/>
      <c r="L40" s="240" t="str">
        <f>IF(AND('Mapa final'!$H$34="Muy Baja",'Mapa final'!$L$34="Leve"),CONCATENATE("R",'Mapa final'!$A$34),"")</f>
        <v/>
      </c>
      <c r="M40" s="240"/>
      <c r="N40" s="240" t="str">
        <f>IF(AND('Mapa final'!$H$40="Muy Baja",'Mapa final'!$L$40="Leve"),CONCATENATE("R",'Mapa final'!$A$40),"")</f>
        <v/>
      </c>
      <c r="O40" s="241"/>
      <c r="P40" s="239" t="str">
        <f>IF(AND('Mapa final'!$H$28="Muy Baja",'Mapa final'!$L$28="Menor"),CONCATENATE("R",'Mapa final'!$A$28),"")</f>
        <v/>
      </c>
      <c r="Q40" s="240"/>
      <c r="R40" s="240" t="str">
        <f>IF(AND('Mapa final'!$H$34="Muy Baja",'Mapa final'!$L$34="Menor"),CONCATENATE("R",'Mapa final'!$A$34),"")</f>
        <v/>
      </c>
      <c r="S40" s="240"/>
      <c r="T40" s="240" t="str">
        <f>IF(AND('Mapa final'!$H$40="Muy Baja",'Mapa final'!$L$40="Menor"),CONCATENATE("R",'Mapa final'!$A$40),"")</f>
        <v/>
      </c>
      <c r="U40" s="241"/>
      <c r="V40" s="248" t="str">
        <f>IF(AND('Mapa final'!$H$28="Muy Baja",'Mapa final'!$L$28="Moderado"),CONCATENATE("R",'Mapa final'!$A$28),"")</f>
        <v/>
      </c>
      <c r="W40" s="249"/>
      <c r="X40" s="249" t="str">
        <f>IF(AND('Mapa final'!$H$34="Muy Baja",'Mapa final'!$L$34="Moderado"),CONCATENATE("R",'Mapa final'!$A$34),"")</f>
        <v/>
      </c>
      <c r="Y40" s="249"/>
      <c r="Z40" s="249" t="str">
        <f>IF(AND('Mapa final'!$H$40="Muy Baja",'Mapa final'!$L$40="Moderado"),CONCATENATE("R",'Mapa final'!$A$40),"")</f>
        <v/>
      </c>
      <c r="AA40" s="250"/>
      <c r="AB40" s="266" t="str">
        <f>IF(AND('Mapa final'!$H$28="Muy Baja",'Mapa final'!$L$28="Mayor"),CONCATENATE("R",'Mapa final'!$A$28),"")</f>
        <v/>
      </c>
      <c r="AC40" s="267"/>
      <c r="AD40" s="268" t="str">
        <f>IF(AND('Mapa final'!$H$34="Muy Baja",'Mapa final'!$L$34="Mayor"),CONCATENATE("R",'Mapa final'!$A$34),"")</f>
        <v/>
      </c>
      <c r="AE40" s="268"/>
      <c r="AF40" s="268" t="str">
        <f>IF(AND('Mapa final'!$H$40="Muy Baja",'Mapa final'!$L$40="Mayor"),CONCATENATE("R",'Mapa final'!$A$40),"")</f>
        <v/>
      </c>
      <c r="AG40" s="269"/>
      <c r="AH40" s="257" t="str">
        <f>IF(AND('Mapa final'!$H$28="Muy Baja",'Mapa final'!$L$28="Catastrófico"),CONCATENATE("R",'Mapa final'!$A$28),"")</f>
        <v/>
      </c>
      <c r="AI40" s="258"/>
      <c r="AJ40" s="258" t="str">
        <f>IF(AND('Mapa final'!$H$34="Muy Baja",'Mapa final'!$L$34="Catastrófico"),CONCATENATE("R",'Mapa final'!$A$34),"")</f>
        <v/>
      </c>
      <c r="AK40" s="258"/>
      <c r="AL40" s="258" t="str">
        <f>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IF(AND('Mapa final'!$H$46="Muy Baja",'Mapa final'!$L$46="Leve"),CONCATENATE("R",'Mapa final'!$A$46),"")</f>
        <v/>
      </c>
      <c r="K42" s="240"/>
      <c r="L42" s="240" t="str">
        <f>IF(AND('Mapa final'!$H$52="Muy Baja",'Mapa final'!$L$52="Leve"),CONCATENATE("R",'Mapa final'!$A$52),"")</f>
        <v/>
      </c>
      <c r="M42" s="240"/>
      <c r="N42" s="240" t="str">
        <f>IF(AND('Mapa final'!$H$58="Muy Baja",'Mapa final'!$L$58="Leve"),CONCATENATE("R",'Mapa final'!$A$58),"")</f>
        <v/>
      </c>
      <c r="O42" s="241"/>
      <c r="P42" s="239" t="str">
        <f>IF(AND('Mapa final'!$H$46="Muy Baja",'Mapa final'!$L$46="Menor"),CONCATENATE("R",'Mapa final'!$A$46),"")</f>
        <v/>
      </c>
      <c r="Q42" s="240"/>
      <c r="R42" s="240" t="str">
        <f>IF(AND('Mapa final'!$H$52="Muy Baja",'Mapa final'!$L$52="Menor"),CONCATENATE("R",'Mapa final'!$A$52),"")</f>
        <v/>
      </c>
      <c r="S42" s="240"/>
      <c r="T42" s="240" t="str">
        <f>IF(AND('Mapa final'!$H$58="Muy Baja",'Mapa final'!$L$58="Menor"),CONCATENATE("R",'Mapa final'!$A$58),"")</f>
        <v/>
      </c>
      <c r="U42" s="241"/>
      <c r="V42" s="248" t="str">
        <f>IF(AND('Mapa final'!$H$46="Muy Baja",'Mapa final'!$L$46="Moderado"),CONCATENATE("R",'Mapa final'!$A$46),"")</f>
        <v/>
      </c>
      <c r="W42" s="249"/>
      <c r="X42" s="249" t="str">
        <f>IF(AND('Mapa final'!$H$52="Muy Baja",'Mapa final'!$L$52="Moderado"),CONCATENATE("R",'Mapa final'!$A$52),"")</f>
        <v/>
      </c>
      <c r="Y42" s="249"/>
      <c r="Z42" s="249" t="str">
        <f>IF(AND('Mapa final'!$H$58="Muy Baja",'Mapa final'!$L$58="Moderado"),CONCATENATE("R",'Mapa final'!$A$58),"")</f>
        <v/>
      </c>
      <c r="AA42" s="250"/>
      <c r="AB42" s="266" t="str">
        <f>IF(AND('Mapa final'!$H$46="Muy Baja",'Mapa final'!$L$46="Mayor"),CONCATENATE("R",'Mapa final'!$A$46),"")</f>
        <v/>
      </c>
      <c r="AC42" s="267"/>
      <c r="AD42" s="268" t="str">
        <f>IF(AND('Mapa final'!$H$52="Muy Baja",'Mapa final'!$L$52="Mayor"),CONCATENATE("R",'Mapa final'!$A$52),"")</f>
        <v/>
      </c>
      <c r="AE42" s="268"/>
      <c r="AF42" s="268" t="str">
        <f>IF(AND('Mapa final'!$H$58="Muy Baja",'Mapa final'!$L$58="Mayor"),CONCATENATE("R",'Mapa final'!$A$58),"")</f>
        <v/>
      </c>
      <c r="AG42" s="269"/>
      <c r="AH42" s="257" t="str">
        <f>IF(AND('Mapa final'!$H$46="Muy Baja",'Mapa final'!$L$46="Catastrófico"),CONCATENATE("R",'Mapa final'!$A$46),"")</f>
        <v/>
      </c>
      <c r="AI42" s="258"/>
      <c r="AJ42" s="258" t="str">
        <f>IF(AND('Mapa final'!$H$52="Muy Baja",'Mapa final'!$L$52="Catastrófico"),CONCATENATE("R",'Mapa final'!$A$52),"")</f>
        <v/>
      </c>
      <c r="AK42" s="258"/>
      <c r="AL42" s="258" t="str">
        <f>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IF(AND('Mapa final'!$Y$10="Media",'Mapa final'!$AA$10="Moderado"),CONCATENATE("R1C",'Mapa final'!$O$10),"")</f>
        <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IF(AND('Mapa final'!$Y$10="Baja",'Mapa final'!$AA$10="Leve"),CONCATENATE("R1C",'Mapa final'!$O$10),"")</f>
        <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IF(AND('Mapa final'!$Y$10="Baja",'Mapa final'!$AA$10="Menor"),CONCATENATE("R1C",'Mapa final'!$O$10),"")</f>
        <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IF(AND('Mapa final'!$Y$10="Baja",'Mapa final'!$AA$10="Moderado"),CONCATENATE("R1C",'Mapa final'!$O$10),"")</f>
        <v>R1C1</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IF(AND('Mapa final'!$Y$10="Muy Baja",'Mapa final'!$AA$10="Menor"),CONCATENATE("R1C",'Mapa final'!$O$10),"")</f>
        <v/>
      </c>
      <c r="Q46" s="75" t="str">
        <f>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IF(AND('Mapa final'!$Y$10="Muy Baja",'Mapa final'!$AA$10="Moderado"),CONCATENATE("R1C",'Mapa final'!$O$10),"")</f>
        <v/>
      </c>
      <c r="W46" s="83" t="str">
        <f>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ASISTENTE RECTORIA</cp:lastModifiedBy>
  <cp:lastPrinted>2020-05-13T01:12:22Z</cp:lastPrinted>
  <dcterms:created xsi:type="dcterms:W3CDTF">2020-03-24T23:12:47Z</dcterms:created>
  <dcterms:modified xsi:type="dcterms:W3CDTF">2021-11-11T15:04:49Z</dcterms:modified>
</cp:coreProperties>
</file>